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CT21E0\"/>
    </mc:Choice>
  </mc:AlternateContent>
  <bookViews>
    <workbookView xWindow="0" yWindow="0" windowWidth="19305" windowHeight="8085"/>
  </bookViews>
  <sheets>
    <sheet name="CT21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" i="1" l="1"/>
  <c r="Z2" i="1" s="1"/>
  <c r="W2" i="1"/>
  <c r="U2" i="1"/>
  <c r="P2" i="1"/>
  <c r="N2" i="1"/>
  <c r="L2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H22" i="1"/>
  <c r="H18" i="1"/>
  <c r="H14" i="1"/>
  <c r="H10" i="1"/>
  <c r="H6" i="1"/>
  <c r="H2" i="1"/>
  <c r="F22" i="1"/>
  <c r="F21" i="1"/>
  <c r="H21" i="1" s="1"/>
  <c r="F20" i="1"/>
  <c r="H20" i="1" s="1"/>
  <c r="F19" i="1"/>
  <c r="H19" i="1" s="1"/>
  <c r="F18" i="1"/>
  <c r="F17" i="1"/>
  <c r="H17" i="1" s="1"/>
  <c r="F16" i="1"/>
  <c r="H16" i="1" s="1"/>
  <c r="F15" i="1"/>
  <c r="H15" i="1" s="1"/>
  <c r="F14" i="1"/>
  <c r="F13" i="1"/>
  <c r="H13" i="1" s="1"/>
  <c r="F12" i="1"/>
  <c r="H12" i="1" s="1"/>
  <c r="F11" i="1"/>
  <c r="H11" i="1" s="1"/>
  <c r="F10" i="1"/>
  <c r="F9" i="1"/>
  <c r="H9" i="1" s="1"/>
  <c r="F8" i="1"/>
  <c r="H8" i="1" s="1"/>
  <c r="F7" i="1"/>
  <c r="H7" i="1" s="1"/>
  <c r="F6" i="1"/>
  <c r="F5" i="1"/>
  <c r="H5" i="1" s="1"/>
  <c r="F4" i="1"/>
  <c r="H4" i="1" s="1"/>
  <c r="F3" i="1"/>
  <c r="H3" i="1" s="1"/>
  <c r="F2" i="1"/>
  <c r="AE3" i="1" l="1"/>
  <c r="AE9" i="1"/>
  <c r="I17" i="1" l="1"/>
  <c r="I18" i="1"/>
  <c r="I19" i="1"/>
  <c r="I20" i="1"/>
  <c r="I21" i="1"/>
  <c r="G17" i="1"/>
  <c r="G18" i="1"/>
  <c r="G19" i="1"/>
  <c r="G20" i="1"/>
  <c r="G21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2" i="1"/>
  <c r="G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22" i="1"/>
  <c r="I2" i="1"/>
  <c r="AA6" i="1" l="1"/>
  <c r="AB6" i="1" s="1"/>
  <c r="AA7" i="1"/>
  <c r="AB7" i="1" s="1"/>
  <c r="AA16" i="1"/>
  <c r="AB16" i="1" s="1"/>
  <c r="AA11" i="1"/>
  <c r="AB11" i="1" s="1"/>
  <c r="AA8" i="1"/>
  <c r="AB8" i="1" s="1"/>
  <c r="AA20" i="1"/>
  <c r="AB20" i="1" s="1"/>
  <c r="AA15" i="1"/>
  <c r="AB15" i="1" s="1"/>
  <c r="AA3" i="1"/>
  <c r="AB3" i="1" s="1"/>
  <c r="AA2" i="1"/>
  <c r="AB2" i="1" s="1"/>
  <c r="AA17" i="1"/>
  <c r="AB17" i="1" s="1"/>
  <c r="AA4" i="1"/>
  <c r="AB4" i="1" s="1"/>
  <c r="AA19" i="1"/>
  <c r="AB19" i="1" s="1"/>
  <c r="AA21" i="1"/>
  <c r="AB21" i="1" s="1"/>
  <c r="AA5" i="1"/>
  <c r="AB5" i="1" s="1"/>
  <c r="AA13" i="1"/>
  <c r="AB13" i="1" s="1"/>
  <c r="AA14" i="1"/>
  <c r="AB14" i="1" s="1"/>
  <c r="AA18" i="1"/>
  <c r="AB18" i="1" s="1"/>
  <c r="AA12" i="1"/>
  <c r="AB12" i="1" s="1"/>
  <c r="AA10" i="1"/>
  <c r="AB10" i="1" s="1"/>
  <c r="AA9" i="1"/>
  <c r="AB9" i="1" s="1"/>
  <c r="K16" i="1"/>
  <c r="L16" i="1" s="1"/>
  <c r="K22" i="1"/>
  <c r="L22" i="1" s="1"/>
  <c r="K7" i="1"/>
  <c r="L7" i="1" s="1"/>
  <c r="K4" i="1"/>
  <c r="L4" i="1" s="1"/>
  <c r="K11" i="1"/>
  <c r="L11" i="1" s="1"/>
  <c r="K21" i="1"/>
  <c r="L21" i="1" s="1"/>
  <c r="K12" i="1"/>
  <c r="L12" i="1" s="1"/>
  <c r="K17" i="1"/>
  <c r="L17" i="1" s="1"/>
  <c r="K9" i="1"/>
  <c r="L9" i="1" s="1"/>
  <c r="K10" i="1"/>
  <c r="L10" i="1" s="1"/>
  <c r="K18" i="1"/>
  <c r="L18" i="1" s="1"/>
  <c r="K15" i="1"/>
  <c r="L15" i="1" s="1"/>
  <c r="K13" i="1"/>
  <c r="L13" i="1" s="1"/>
  <c r="K19" i="1"/>
  <c r="L19" i="1" s="1"/>
  <c r="K20" i="1"/>
  <c r="L20" i="1" s="1"/>
  <c r="K5" i="1"/>
  <c r="L5" i="1" s="1"/>
  <c r="K8" i="1"/>
  <c r="L8" i="1" s="1"/>
  <c r="K2" i="1"/>
  <c r="K6" i="1"/>
  <c r="L6" i="1" s="1"/>
  <c r="K3" i="1"/>
  <c r="L3" i="1" s="1"/>
  <c r="K14" i="1"/>
  <c r="L14" i="1" s="1"/>
  <c r="M3" i="1" l="1"/>
  <c r="M8" i="1"/>
  <c r="M9" i="1"/>
  <c r="M21" i="1"/>
  <c r="M7" i="1"/>
  <c r="M19" i="1"/>
  <c r="M18" i="1"/>
  <c r="M17" i="1"/>
  <c r="M22" i="1"/>
  <c r="N22" i="1" s="1"/>
  <c r="U22" i="1" s="1"/>
  <c r="M6" i="1"/>
  <c r="M5" i="1"/>
  <c r="M13" i="1"/>
  <c r="M11" i="1"/>
  <c r="M14" i="1"/>
  <c r="M2" i="1"/>
  <c r="X2" i="1" s="1"/>
  <c r="M20" i="1"/>
  <c r="M15" i="1"/>
  <c r="M10" i="1"/>
  <c r="M12" i="1"/>
  <c r="M4" i="1"/>
  <c r="M16" i="1"/>
  <c r="X16" i="1" l="1"/>
  <c r="Y16" i="1" s="1"/>
  <c r="Z16" i="1" s="1"/>
  <c r="N16" i="1"/>
  <c r="X11" i="1"/>
  <c r="N11" i="1"/>
  <c r="X20" i="1"/>
  <c r="Y20" i="1" s="1"/>
  <c r="Z20" i="1" s="1"/>
  <c r="N20" i="1"/>
  <c r="X13" i="1"/>
  <c r="N13" i="1"/>
  <c r="X17" i="1"/>
  <c r="Y17" i="1" s="1"/>
  <c r="Z17" i="1" s="1"/>
  <c r="N17" i="1"/>
  <c r="X21" i="1"/>
  <c r="N21" i="1"/>
  <c r="X12" i="1"/>
  <c r="Y12" i="1" s="1"/>
  <c r="Z12" i="1" s="1"/>
  <c r="N12" i="1"/>
  <c r="X5" i="1"/>
  <c r="N5" i="1"/>
  <c r="X18" i="1"/>
  <c r="Y18" i="1" s="1"/>
  <c r="Z18" i="1" s="1"/>
  <c r="N18" i="1"/>
  <c r="X9" i="1"/>
  <c r="N9" i="1"/>
  <c r="X10" i="1"/>
  <c r="Y10" i="1" s="1"/>
  <c r="Z10" i="1" s="1"/>
  <c r="N10" i="1"/>
  <c r="X14" i="1"/>
  <c r="N14" i="1"/>
  <c r="X6" i="1"/>
  <c r="Y6" i="1" s="1"/>
  <c r="Z6" i="1" s="1"/>
  <c r="N6" i="1"/>
  <c r="X19" i="1"/>
  <c r="N19" i="1"/>
  <c r="X8" i="1"/>
  <c r="Y8" i="1" s="1"/>
  <c r="Z8" i="1" s="1"/>
  <c r="N8" i="1"/>
  <c r="X15" i="1"/>
  <c r="N15" i="1"/>
  <c r="X7" i="1"/>
  <c r="Y7" i="1" s="1"/>
  <c r="Z7" i="1" s="1"/>
  <c r="N7" i="1"/>
  <c r="X4" i="1"/>
  <c r="N4" i="1"/>
  <c r="X3" i="1"/>
  <c r="N3" i="1"/>
  <c r="T10" i="1"/>
  <c r="U10" i="1" s="1"/>
  <c r="O10" i="1"/>
  <c r="T20" i="1"/>
  <c r="U20" i="1" s="1"/>
  <c r="O20" i="1"/>
  <c r="T14" i="1"/>
  <c r="O14" i="1"/>
  <c r="P14" i="1" s="1"/>
  <c r="T13" i="1"/>
  <c r="O13" i="1"/>
  <c r="T6" i="1"/>
  <c r="U6" i="1" s="1"/>
  <c r="O6" i="1"/>
  <c r="T19" i="1"/>
  <c r="O19" i="1"/>
  <c r="T21" i="1"/>
  <c r="O21" i="1"/>
  <c r="P21" i="1" s="1"/>
  <c r="T8" i="1"/>
  <c r="U8" i="1" s="1"/>
  <c r="O8" i="1"/>
  <c r="T17" i="1"/>
  <c r="U17" i="1" s="1"/>
  <c r="O17" i="1"/>
  <c r="T16" i="1"/>
  <c r="U16" i="1" s="1"/>
  <c r="O16" i="1"/>
  <c r="P16" i="1" s="1"/>
  <c r="T12" i="1"/>
  <c r="U12" i="1" s="1"/>
  <c r="O12" i="1"/>
  <c r="P12" i="1" s="1"/>
  <c r="T15" i="1"/>
  <c r="O15" i="1"/>
  <c r="T2" i="1"/>
  <c r="O2" i="1"/>
  <c r="Q2" i="1" s="1"/>
  <c r="T11" i="1"/>
  <c r="O11" i="1"/>
  <c r="T5" i="1"/>
  <c r="U5" i="1" s="1"/>
  <c r="O5" i="1"/>
  <c r="O22" i="1"/>
  <c r="T18" i="1"/>
  <c r="U18" i="1" s="1"/>
  <c r="O18" i="1"/>
  <c r="P18" i="1" s="1"/>
  <c r="T7" i="1"/>
  <c r="U7" i="1" s="1"/>
  <c r="O7" i="1"/>
  <c r="T9" i="1"/>
  <c r="O9" i="1"/>
  <c r="T3" i="1"/>
  <c r="O3" i="1"/>
  <c r="T4" i="1"/>
  <c r="O4" i="1"/>
  <c r="AC9" i="1"/>
  <c r="AC3" i="1"/>
  <c r="AC13" i="1"/>
  <c r="AC20" i="1"/>
  <c r="AC8" i="1"/>
  <c r="AC4" i="1"/>
  <c r="AC15" i="1"/>
  <c r="AC21" i="1"/>
  <c r="AC17" i="1"/>
  <c r="AC2" i="1"/>
  <c r="Q9" i="1" l="1"/>
  <c r="P9" i="1"/>
  <c r="Q6" i="1"/>
  <c r="P6" i="1"/>
  <c r="Q10" i="1"/>
  <c r="P10" i="1"/>
  <c r="U9" i="1"/>
  <c r="P11" i="1"/>
  <c r="Q15" i="1"/>
  <c r="P15" i="1"/>
  <c r="Q8" i="1"/>
  <c r="P8" i="1"/>
  <c r="U14" i="1"/>
  <c r="Y15" i="1"/>
  <c r="Z15" i="1" s="1"/>
  <c r="Y19" i="1"/>
  <c r="Z19" i="1" s="1"/>
  <c r="Y14" i="1"/>
  <c r="Z14" i="1" s="1"/>
  <c r="Y9" i="1"/>
  <c r="Z9" i="1" s="1"/>
  <c r="Y5" i="1"/>
  <c r="Z5" i="1" s="1"/>
  <c r="Y21" i="1"/>
  <c r="Z21" i="1" s="1"/>
  <c r="Y13" i="1"/>
  <c r="Z13" i="1" s="1"/>
  <c r="Y11" i="1"/>
  <c r="Z11" i="1" s="1"/>
  <c r="U21" i="1"/>
  <c r="AC7" i="1"/>
  <c r="Q7" i="1"/>
  <c r="P7" i="1"/>
  <c r="Q22" i="1"/>
  <c r="P22" i="1"/>
  <c r="U11" i="1"/>
  <c r="U15" i="1"/>
  <c r="Q19" i="1"/>
  <c r="P19" i="1"/>
  <c r="P13" i="1"/>
  <c r="Q20" i="1"/>
  <c r="P20" i="1"/>
  <c r="Q5" i="1"/>
  <c r="P5" i="1"/>
  <c r="Q17" i="1"/>
  <c r="P17" i="1"/>
  <c r="Q21" i="1"/>
  <c r="U19" i="1"/>
  <c r="U13" i="1"/>
  <c r="Q4" i="1"/>
  <c r="P4" i="1"/>
  <c r="U4" i="1"/>
  <c r="Y4" i="1"/>
  <c r="Z4" i="1" s="1"/>
  <c r="Q3" i="1"/>
  <c r="P3" i="1"/>
  <c r="U3" i="1"/>
  <c r="X24" i="1"/>
  <c r="Y3" i="1"/>
  <c r="Z3" i="1" s="1"/>
  <c r="Q13" i="1"/>
  <c r="Q14" i="1"/>
  <c r="AC5" i="1"/>
  <c r="AC11" i="1"/>
  <c r="AC16" i="1"/>
  <c r="AC14" i="1"/>
  <c r="AC12" i="1"/>
  <c r="Q16" i="1"/>
  <c r="AC19" i="1"/>
  <c r="AC6" i="1"/>
  <c r="AC18" i="1"/>
  <c r="Q12" i="1"/>
  <c r="AC10" i="1"/>
  <c r="Q18" i="1"/>
  <c r="Q11" i="1"/>
  <c r="V2" i="1"/>
  <c r="V13" i="1"/>
  <c r="V17" i="1"/>
  <c r="V14" i="1"/>
  <c r="V3" i="1"/>
  <c r="V8" i="1"/>
  <c r="V18" i="1"/>
  <c r="V6" i="1"/>
  <c r="V15" i="1"/>
  <c r="V16" i="1"/>
  <c r="V5" i="1"/>
  <c r="V10" i="1"/>
  <c r="V20" i="1"/>
  <c r="V19" i="1"/>
  <c r="V7" i="1"/>
  <c r="V21" i="1"/>
  <c r="V12" i="1"/>
  <c r="V11" i="1"/>
  <c r="V9" i="1"/>
  <c r="V4" i="1"/>
  <c r="Y24" i="1" l="1"/>
  <c r="W18" i="1"/>
  <c r="W14" i="1"/>
  <c r="W10" i="1"/>
  <c r="W6" i="1"/>
  <c r="W20" i="1"/>
  <c r="W12" i="1"/>
  <c r="W19" i="1"/>
  <c r="W7" i="1"/>
  <c r="W21" i="1"/>
  <c r="W17" i="1"/>
  <c r="W13" i="1"/>
  <c r="W9" i="1"/>
  <c r="W5" i="1"/>
  <c r="W16" i="1"/>
  <c r="W8" i="1"/>
  <c r="W4" i="1"/>
  <c r="W15" i="1"/>
  <c r="W11" i="1"/>
  <c r="W3" i="1"/>
  <c r="AC24" i="1"/>
</calcChain>
</file>

<file path=xl/sharedStrings.xml><?xml version="1.0" encoding="utf-8"?>
<sst xmlns="http://schemas.openxmlformats.org/spreadsheetml/2006/main" count="55" uniqueCount="55">
  <si>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</si>
  <si>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</si>
  <si>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</si>
  <si>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</si>
  <si>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</si>
  <si>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</si>
  <si>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</si>
  <si>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</si>
  <si>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</si>
  <si>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</si>
  <si>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Total bkgd corrected counts (cpm)</t>
  </si>
  <si>
    <t>Blk</t>
  </si>
  <si>
    <t>CT21E 1 mL</t>
  </si>
  <si>
    <t>CT21E 2 mL</t>
  </si>
  <si>
    <t>CT21E 3 mL</t>
  </si>
  <si>
    <t>CT21E 4 mL</t>
  </si>
  <si>
    <t>CT21E 5 mL</t>
  </si>
  <si>
    <t>CT21E 6 mL</t>
  </si>
  <si>
    <t>CT21E 7 mL</t>
  </si>
  <si>
    <t>CT21E 8 mL</t>
  </si>
  <si>
    <t>CT21E 9 mL</t>
  </si>
  <si>
    <t>CT21E 10 mL</t>
  </si>
  <si>
    <t>CT21E 11 mL</t>
  </si>
  <si>
    <t>CT21E 12 mL</t>
  </si>
  <si>
    <t>CT21E 13 mL</t>
  </si>
  <si>
    <t>CT21E 14 mL</t>
  </si>
  <si>
    <t>CT21E 15 mL</t>
  </si>
  <si>
    <t>CT21E 16 mL</t>
  </si>
  <si>
    <t>CT21E 17 mL</t>
  </si>
  <si>
    <t>CT21E 18 mL</t>
  </si>
  <si>
    <t>CT21E 19 mL</t>
  </si>
  <si>
    <t>CT21E 20 mL</t>
  </si>
  <si>
    <t>6 ml/min</t>
  </si>
  <si>
    <t>Weight of eluate (g)</t>
  </si>
  <si>
    <t>Cumulative Activity (DPM)</t>
  </si>
  <si>
    <t>Decay constant of sr-90=</t>
  </si>
  <si>
    <t>Time from 19.07.2018</t>
  </si>
  <si>
    <t>DC factor</t>
  </si>
  <si>
    <t>DC to 05.06.2018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</si>
  <si>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</si>
  <si>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</si>
  <si>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</si>
  <si>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</si>
  <si>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</si>
  <si>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t>Weight of Eluate (g) σ</t>
  </si>
  <si>
    <t>Weight Corrected Sr-90 Activity (DPM)</t>
  </si>
  <si>
    <t>Weight Corrected Sr-90 Activity (DPM) σ</t>
  </si>
  <si>
    <t>Cumulative Activity (DPM) σ</t>
  </si>
  <si>
    <t>Activity (bq)</t>
  </si>
  <si>
    <t>Activity (Bq) σ</t>
  </si>
  <si>
    <t>Activity (Bq) σ ^2</t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</si>
  <si>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</si>
  <si>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</si>
  <si>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Sr-90 activity recovered</t>
  </si>
  <si>
    <t>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</si>
</sst>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22" fontId="0" fillId="0" borderId="0" xfId="0" applyNumberFormat="1"/>
    <xf numFmtId="0" fontId="0" fillId="2" borderId="2" xfId="0" applyFill="1" applyBorder="1"/>
    <xf numFmtId="0" fontId="0" fillId="2" borderId="3" xfId="0" applyFill="1" applyBorder="1"/>
    <xf numFmtId="0" fontId="0" fillId="2" borderId="1" xfId="0" applyFill="1" applyBorder="1"/>
    <xf numFmtId="0" fontId="0" fillId="2" borderId="0" xfId="0" applyFill="1"/>
    <xf numFmtId="166" fontId="0" fillId="2" borderId="3" xfId="0" applyNumberFormat="1" applyFill="1" applyBorder="1"/>
    <xf numFmtId="166" fontId="0" fillId="2" borderId="1" xfId="0" applyNumberFormat="1" applyFill="1" applyBorder="1"/>
    <xf numFmtId="0" fontId="0" fillId="0" borderId="2" xfId="0" applyBorder="1"/>
    <xf numFmtId="0" fontId="0" fillId="0" borderId="1" xfId="0" applyBorder="1"/>
    <xf numFmtId="0" fontId="0" fillId="3" borderId="0" xfId="0" applyFill="1"/>
    <xf numFmtId="0" fontId="1" fillId="0" borderId="0" xfId="0" applyFont="1"/>
    <xf numFmtId="22" fontId="0" fillId="0" borderId="1" xfId="0" applyNumberFormat="1" applyBorder="1"/>
    <xf numFmtId="2" fontId="0" fillId="0" borderId="1" xfId="0" applyNumberFormat="1" applyBorder="1"/>
    <xf numFmtId="2" fontId="0" fillId="2" borderId="1" xfId="0" applyNumberFormat="1" applyFill="1" applyBorder="1"/>
    <xf numFmtId="164" fontId="0" fillId="0" borderId="1" xfId="0" applyNumberFormat="1" applyBorder="1"/>
    <xf numFmtId="165" fontId="0" fillId="0" borderId="1" xfId="0" applyNumberFormat="1" applyBorder="1"/>
    <xf numFmtId="0" fontId="0" fillId="0" borderId="3" xfId="0" applyBorder="1"/>
    <xf numFmtId="22" fontId="0" fillId="0" borderId="3" xfId="0" applyNumberFormat="1" applyBorder="1"/>
    <xf numFmtId="2" fontId="0" fillId="0" borderId="3" xfId="0" applyNumberFormat="1" applyBorder="1"/>
    <xf numFmtId="2" fontId="0" fillId="2" borderId="3" xfId="0" applyNumberFormat="1" applyFill="1" applyBorder="1"/>
    <xf numFmtId="164" fontId="0" fillId="0" borderId="3" xfId="0" applyNumberFormat="1" applyBorder="1"/>
    <xf numFmtId="165" fontId="0" fillId="0" borderId="3" xfId="0" applyNumberFormat="1" applyBorder="1"/>
    <xf numFmtId="0" fontId="0" fillId="0" borderId="5" xfId="0" applyBorder="1"/>
    <xf numFmtId="0" fontId="0" fillId="0" borderId="6" xfId="0" applyBorder="1"/>
    <xf numFmtId="22" fontId="0" fillId="0" borderId="7" xfId="0" applyNumberFormat="1" applyBorder="1"/>
    <xf numFmtId="22" fontId="0" fillId="0" borderId="8" xfId="0" applyNumberFormat="1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tabSelected="1" zoomScale="80" zoomScaleNormal="80" workbookViewId="0">
      <selection activeCell="B12" sqref="B11:B12"/>
    </sheetView>
  </sheetViews>
  <sheetFormatPr defaultRowHeight="15" x14ac:dyDescent="0.25"/>
  <cols>
    <col min="1" max="1" width="13.5703125" bestFit="1" customWidth="1"/>
    <col min="2" max="2" width="20.5703125" customWidth="1"/>
    <col min="3" max="3" width="17.140625" bestFit="1" customWidth="1"/>
    <col min="4" max="4" width="17.5703125" bestFit="1" customWidth="1"/>
    <col min="5" max="5" width="22.140625" style="5" bestFit="1" customWidth="1"/>
    <col min="6" max="6" width="20" style="5" bestFit="1" customWidth="1"/>
    <col min="7" max="7" width="31.5703125" bestFit="1" customWidth="1"/>
    <col min="8" max="8" width="31.5703125" customWidth="1"/>
    <col min="9" max="9" width="20" bestFit="1" customWidth="1"/>
    <col min="10" max="10" width="21.5703125" bestFit="1" customWidth="1"/>
    <col min="11" max="12" width="17.7109375" customWidth="1"/>
    <col min="13" max="13" width="12.140625" bestFit="1" customWidth="1"/>
    <col min="14" max="14" width="12.140625" customWidth="1"/>
    <col min="15" max="15" width="12.140625" bestFit="1" customWidth="1"/>
    <col min="16" max="16" width="12.140625" customWidth="1"/>
    <col min="17" max="17" width="12" bestFit="1" customWidth="1"/>
    <col min="18" max="18" width="21" bestFit="1" customWidth="1"/>
    <col min="19" max="19" width="19" customWidth="1"/>
    <col min="20" max="20" width="34.85546875" bestFit="1" customWidth="1"/>
    <col min="21" max="21" width="34.85546875" customWidth="1"/>
    <col min="22" max="22" width="24.7109375" bestFit="1" customWidth="1"/>
    <col min="23" max="23" width="28" bestFit="1" customWidth="1"/>
    <col min="24" max="30" width="24.7109375" customWidth="1"/>
    <col min="31" max="31" width="22.140625" bestFit="1" customWidth="1"/>
  </cols>
  <sheetData>
    <row r="1" spans="1:31" ht="15.75" thickBot="1" x14ac:dyDescent="0.3">
      <c r="A1" s="27" t="s">
        <v>3</v>
      </c>
      <c r="B1" s="24" t="s">
        <v>5</v>
      </c>
      <c r="C1" s="8" t="s">
        <v>4</v>
      </c>
      <c r="D1" s="8" t="s">
        <v>0</v>
      </c>
      <c r="E1" s="2" t="s">
        <v>39</v>
      </c>
      <c r="F1" s="2" t="s">
        <v>40</v>
      </c>
      <c r="G1" s="8" t="s">
        <v>10</v>
      </c>
      <c r="H1" s="2" t="s">
        <v>41</v>
      </c>
      <c r="I1" s="8" t="s">
        <v>1</v>
      </c>
      <c r="J1" s="2" t="s">
        <v>42</v>
      </c>
      <c r="K1" s="8" t="s">
        <v>6</v>
      </c>
      <c r="L1" s="2" t="s">
        <v>43</v>
      </c>
      <c r="M1" s="8" t="s">
        <v>7</v>
      </c>
      <c r="N1" s="2" t="s">
        <v>51</v>
      </c>
      <c r="O1" s="8" t="s">
        <v>8</v>
      </c>
      <c r="P1" s="2" t="s">
        <v>52</v>
      </c>
      <c r="Q1" s="8" t="s">
        <v>9</v>
      </c>
      <c r="R1" s="8" t="s">
        <v>33</v>
      </c>
      <c r="S1" s="2" t="s">
        <v>44</v>
      </c>
      <c r="T1" s="8" t="s">
        <v>45</v>
      </c>
      <c r="U1" s="2" t="s">
        <v>46</v>
      </c>
      <c r="V1" s="8" t="s">
        <v>34</v>
      </c>
      <c r="W1" s="2" t="s">
        <v>47</v>
      </c>
      <c r="X1" s="8" t="s">
        <v>48</v>
      </c>
      <c r="Y1" s="2" t="s">
        <v>49</v>
      </c>
      <c r="Z1" s="2" t="s">
        <v>50</v>
      </c>
      <c r="AA1" s="8" t="s">
        <v>36</v>
      </c>
      <c r="AB1" s="8" t="s">
        <v>37</v>
      </c>
      <c r="AC1" s="23" t="s">
        <v>38</v>
      </c>
    </row>
    <row r="2" spans="1:31" x14ac:dyDescent="0.25">
      <c r="A2" s="28" t="s">
        <v>12</v>
      </c>
      <c r="B2" s="25">
        <v>43315.625</v>
      </c>
      <c r="C2" s="18">
        <v>43316.677083333336</v>
      </c>
      <c r="D2" s="19">
        <v>12.41</v>
      </c>
      <c r="E2" s="20">
        <v>5.24</v>
      </c>
      <c r="F2" s="3">
        <f>D2*(E2/100)</f>
        <v>0.65028400000000008</v>
      </c>
      <c r="G2" s="17">
        <f t="shared" ref="G2:G22" si="0">D2-$D$22</f>
        <v>4.4000000000000004</v>
      </c>
      <c r="H2" s="3">
        <f>SQRT((F2^2)+(F$17^2))</f>
        <v>1.008480417785095</v>
      </c>
      <c r="I2" s="21">
        <f>(C2-B2)*24</f>
        <v>25.250000000058208</v>
      </c>
      <c r="J2" s="6">
        <f>1/60</f>
        <v>1.6666666666666666E-2</v>
      </c>
      <c r="K2" s="17">
        <f>1-EXP(-$AE$3*I2)</f>
        <v>0.24802207553244271</v>
      </c>
      <c r="L2" s="3">
        <f>K2*SQRT(((J2/I2)^2))</f>
        <v>1.6371094094512934E-4</v>
      </c>
      <c r="M2" s="17">
        <f>G2/((1+K2))</f>
        <v>3.525578662639306</v>
      </c>
      <c r="N2" s="3">
        <f t="shared" ref="N2:N22" si="1">M2*SQRT(((H2/G2)^2)+((L2/K2)^2))</f>
        <v>0.80806631511917038</v>
      </c>
      <c r="O2" s="17">
        <f>M2*K2</f>
        <v>0.87442133736069427</v>
      </c>
      <c r="P2" s="3">
        <f t="shared" ref="P2:P22" si="2">O2*SQRT(((N2/M2)^2)+((L2/K2)^2))</f>
        <v>0.20041911573358304</v>
      </c>
      <c r="Q2" s="17">
        <f>M2+O2</f>
        <v>4.4000000000000004</v>
      </c>
      <c r="R2" s="17">
        <v>0.84330000000000016</v>
      </c>
      <c r="S2" s="3">
        <v>1.4142135623730951E-4</v>
      </c>
      <c r="T2" s="17">
        <f>M2/R2</f>
        <v>4.180693303260175</v>
      </c>
      <c r="U2" s="3">
        <f>T2*SQRT(((S2/R2)^2)+((N2/M2)^2))</f>
        <v>0.95821953209498667</v>
      </c>
      <c r="V2" s="17">
        <f>SUM($T$2:T2)</f>
        <v>4.180693303260175</v>
      </c>
      <c r="W2" s="3">
        <f>SQRT((U2^2))</f>
        <v>0.95821953209498667</v>
      </c>
      <c r="X2" s="17">
        <f>M2/60</f>
        <v>5.8759644377321764E-2</v>
      </c>
      <c r="Y2" s="3">
        <f>X2*SQRT(((N2/M2)^2))</f>
        <v>1.3467771918652839E-2</v>
      </c>
      <c r="Z2" s="3">
        <f>Y2^2</f>
        <v>1.8138088045285399E-4</v>
      </c>
      <c r="AA2" s="17">
        <f>(C2-$AE$6)*24</f>
        <v>100.25000000005821</v>
      </c>
      <c r="AB2" s="22">
        <f>EXP(-$AE$9*AA2)</f>
        <v>0.99972460665531093</v>
      </c>
      <c r="AC2" s="17">
        <f>X2/AB2</f>
        <v>5.8775830849966418E-2</v>
      </c>
      <c r="AE2" t="s">
        <v>2</v>
      </c>
    </row>
    <row r="3" spans="1:31" x14ac:dyDescent="0.25">
      <c r="A3" s="29" t="s">
        <v>13</v>
      </c>
      <c r="B3" s="26">
        <v>43315.625115740739</v>
      </c>
      <c r="C3" s="12">
        <v>43316.7</v>
      </c>
      <c r="D3" s="13">
        <v>20.54</v>
      </c>
      <c r="E3" s="14">
        <v>4.08</v>
      </c>
      <c r="F3" s="4">
        <f t="shared" ref="F3:F22" si="3">D3*(E3/100)</f>
        <v>0.838032</v>
      </c>
      <c r="G3" s="9">
        <f t="shared" si="0"/>
        <v>12.53</v>
      </c>
      <c r="H3" s="4">
        <f>SQRT((F3^2)+(F$17^2))</f>
        <v>1.1386224595641876</v>
      </c>
      <c r="I3" s="15">
        <f t="shared" ref="I3:I21" si="4">(C3-B3)*24</f>
        <v>25.797222222201526</v>
      </c>
      <c r="J3" s="7">
        <f t="shared" ref="J3:J22" si="5">1/60</f>
        <v>1.6666666666666666E-2</v>
      </c>
      <c r="K3" s="9">
        <f>1-EXP(-$AE$3*I3)</f>
        <v>0.25265318605006126</v>
      </c>
      <c r="L3" s="4">
        <f t="shared" ref="L3:L22" si="6">K3*SQRT(((J3/I3)^2))</f>
        <v>1.6323022680107501E-4</v>
      </c>
      <c r="M3" s="9">
        <f>G3/((1+K3))</f>
        <v>10.002768635036425</v>
      </c>
      <c r="N3" s="4">
        <f t="shared" si="1"/>
        <v>0.90899160979357962</v>
      </c>
      <c r="O3" s="9">
        <f>M3*K3</f>
        <v>2.5272313649635754</v>
      </c>
      <c r="P3" s="4">
        <f t="shared" si="2"/>
        <v>0.22966543022793282</v>
      </c>
      <c r="Q3" s="9">
        <f t="shared" ref="Q3:Q22" si="7">M3+O3</f>
        <v>12.530000000000001</v>
      </c>
      <c r="R3" s="9">
        <v>0.94359999999999999</v>
      </c>
      <c r="S3" s="4">
        <v>1.4142135623730951E-4</v>
      </c>
      <c r="T3" s="9">
        <f>M3/R3</f>
        <v>10.600645013815626</v>
      </c>
      <c r="U3" s="4">
        <f t="shared" ref="U3:U22" si="8">T3*SQRT(((S3/R3)^2)+((N3/M3)^2))</f>
        <v>0.96332433874331802</v>
      </c>
      <c r="V3" s="9">
        <f>SUM($T$2:T3)</f>
        <v>14.7813383170758</v>
      </c>
      <c r="W3" s="4">
        <f>SQRT((U3^2)+(U2^2))</f>
        <v>1.3587414961292623</v>
      </c>
      <c r="X3" s="9">
        <f t="shared" ref="X3:X21" si="9">M3/60</f>
        <v>0.16671281058394041</v>
      </c>
      <c r="Y3" s="4">
        <f t="shared" ref="Y3:Y16" si="10">X3*SQRT(((N3/M3)^2))</f>
        <v>1.5149860163226328E-2</v>
      </c>
      <c r="Z3" s="4">
        <f t="shared" ref="Z3:Z16" si="11">Y3^2</f>
        <v>2.2951826296531205E-4</v>
      </c>
      <c r="AA3" s="9">
        <f>(C3-$AE$6)*24</f>
        <v>100.79999999993015</v>
      </c>
      <c r="AB3" s="16">
        <f t="shared" ref="AB3:AB21" si="12">EXP(-$AE$9*AA3)</f>
        <v>0.99972309597833542</v>
      </c>
      <c r="AC3" s="9">
        <f t="shared" ref="AC3:AC21" si="13">X3/AB3</f>
        <v>0.16675898681803905</v>
      </c>
      <c r="AE3">
        <f>LN(2)/61.4</f>
        <v>1.1289042028663604E-2</v>
      </c>
    </row>
    <row r="4" spans="1:31" x14ac:dyDescent="0.25">
      <c r="A4" s="29" t="s">
        <v>14</v>
      </c>
      <c r="B4" s="26">
        <v>43315.625231481485</v>
      </c>
      <c r="C4" s="12">
        <v>43316.722916550927</v>
      </c>
      <c r="D4" s="13">
        <v>16.82</v>
      </c>
      <c r="E4" s="14">
        <v>4.5</v>
      </c>
      <c r="F4" s="4">
        <f t="shared" si="3"/>
        <v>0.75690000000000002</v>
      </c>
      <c r="G4" s="9">
        <f t="shared" si="0"/>
        <v>8.81</v>
      </c>
      <c r="H4" s="4">
        <f t="shared" ref="H4:H17" si="14">SQRT((F4^2)+(F$17^2))</f>
        <v>1.0803060133128946</v>
      </c>
      <c r="I4" s="15">
        <f t="shared" si="4"/>
        <v>26.344441666617058</v>
      </c>
      <c r="J4" s="7">
        <f t="shared" si="5"/>
        <v>1.6666666666666666E-2</v>
      </c>
      <c r="K4" s="9">
        <f>1-EXP(-$AE$3*I4)</f>
        <v>0.25725575224721198</v>
      </c>
      <c r="L4" s="4">
        <f t="shared" si="6"/>
        <v>1.6275144203264661E-4</v>
      </c>
      <c r="M4" s="9">
        <f>G4/((1+K4))</f>
        <v>7.0073252671567072</v>
      </c>
      <c r="N4" s="4">
        <f t="shared" si="1"/>
        <v>0.85926860080416623</v>
      </c>
      <c r="O4" s="9">
        <f>M4*K4</f>
        <v>1.8026747328432944</v>
      </c>
      <c r="P4" s="4">
        <f t="shared" si="2"/>
        <v>0.22105473217833116</v>
      </c>
      <c r="Q4" s="9">
        <f t="shared" si="7"/>
        <v>8.8100000000000023</v>
      </c>
      <c r="R4" s="9">
        <v>1.0972000000000008</v>
      </c>
      <c r="S4" s="4">
        <v>1.4142135623730951E-4</v>
      </c>
      <c r="T4" s="9">
        <f>M4/R4</f>
        <v>6.3865523761909424</v>
      </c>
      <c r="U4" s="4">
        <f t="shared" si="8"/>
        <v>0.78314717051349014</v>
      </c>
      <c r="V4" s="9">
        <f>SUM($T$2:T4)</f>
        <v>21.167890693266742</v>
      </c>
      <c r="W4" s="4">
        <f>SQRT((U4^2)+(U3^2)+(U2^2))</f>
        <v>1.568278656357623</v>
      </c>
      <c r="X4" s="9">
        <f t="shared" si="9"/>
        <v>0.11678875445261179</v>
      </c>
      <c r="Y4" s="4">
        <f t="shared" si="10"/>
        <v>1.4321143346736103E-2</v>
      </c>
      <c r="Z4" s="4">
        <f t="shared" si="11"/>
        <v>2.0509514675776374E-4</v>
      </c>
      <c r="AA4" s="9">
        <f>(C4-$AE$6)*24</f>
        <v>101.34999722224893</v>
      </c>
      <c r="AB4" s="16">
        <f t="shared" si="12"/>
        <v>0.99972158531127175</v>
      </c>
      <c r="AC4" s="9">
        <f t="shared" si="13"/>
        <v>0.11682127921270063</v>
      </c>
    </row>
    <row r="5" spans="1:31" x14ac:dyDescent="0.25">
      <c r="A5" s="29" t="s">
        <v>15</v>
      </c>
      <c r="B5" s="25">
        <v>43315.625347048612</v>
      </c>
      <c r="C5" s="12">
        <v>43316.745833159723</v>
      </c>
      <c r="D5" s="13">
        <v>24.39</v>
      </c>
      <c r="E5" s="14">
        <v>3.74</v>
      </c>
      <c r="F5" s="4">
        <f t="shared" si="3"/>
        <v>0.91218600000000005</v>
      </c>
      <c r="G5" s="9">
        <f t="shared" si="0"/>
        <v>16.380000000000003</v>
      </c>
      <c r="H5" s="4">
        <f t="shared" si="14"/>
        <v>1.1942557393607116</v>
      </c>
      <c r="I5" s="15">
        <f t="shared" si="4"/>
        <v>26.891666666662786</v>
      </c>
      <c r="J5" s="7">
        <f t="shared" si="5"/>
        <v>1.6666666666666666E-2</v>
      </c>
      <c r="K5" s="9">
        <f>1-EXP(-$AE$3*I5)</f>
        <v>0.26183001964684349</v>
      </c>
      <c r="L5" s="4">
        <f t="shared" si="6"/>
        <v>1.622745705899481E-4</v>
      </c>
      <c r="M5" s="9">
        <f>G5/((1+K5))</f>
        <v>12.98114622806674</v>
      </c>
      <c r="N5" s="4">
        <f t="shared" si="1"/>
        <v>0.94648159274224886</v>
      </c>
      <c r="O5" s="9">
        <f>M5*K5</f>
        <v>3.3988537719332625</v>
      </c>
      <c r="P5" s="4">
        <f t="shared" si="2"/>
        <v>0.24782624679602827</v>
      </c>
      <c r="Q5" s="9">
        <f t="shared" si="7"/>
        <v>16.380000000000003</v>
      </c>
      <c r="R5" s="9">
        <v>0.92929999999999957</v>
      </c>
      <c r="S5" s="4">
        <v>1.4142135623730951E-4</v>
      </c>
      <c r="T5" s="9">
        <f>M5/R5</f>
        <v>13.968735852864247</v>
      </c>
      <c r="U5" s="4">
        <f t="shared" si="8"/>
        <v>1.018490965596432</v>
      </c>
      <c r="V5" s="9">
        <f>SUM($T$2:T5)</f>
        <v>35.136626546130991</v>
      </c>
      <c r="W5" s="4">
        <f>SQRT((U5^2)+(U4^2)+(U3^2)+(U2^2))</f>
        <v>1.8699790883826546</v>
      </c>
      <c r="X5" s="9">
        <f t="shared" si="9"/>
        <v>0.21635243713444566</v>
      </c>
      <c r="Y5" s="4">
        <f t="shared" si="10"/>
        <v>1.5774693212370815E-2</v>
      </c>
      <c r="Z5" s="4">
        <f t="shared" si="11"/>
        <v>2.4884094594441786E-4</v>
      </c>
      <c r="AA5" s="9">
        <f>(C5-$AE$6)*24</f>
        <v>101.89999583334429</v>
      </c>
      <c r="AB5" s="16">
        <f t="shared" si="12"/>
        <v>0.99972007464267632</v>
      </c>
      <c r="AC5" s="9">
        <f t="shared" si="13"/>
        <v>0.21641301662545404</v>
      </c>
    </row>
    <row r="6" spans="1:31" x14ac:dyDescent="0.25">
      <c r="A6" s="29" t="s">
        <v>16</v>
      </c>
      <c r="B6" s="26">
        <v>43315.625462731485</v>
      </c>
      <c r="C6" s="12">
        <v>43316.768749768518</v>
      </c>
      <c r="D6" s="13">
        <v>126.38</v>
      </c>
      <c r="E6" s="14">
        <v>1.64</v>
      </c>
      <c r="F6" s="4">
        <f t="shared" si="3"/>
        <v>2.0726319999999996</v>
      </c>
      <c r="G6" s="9">
        <f t="shared" si="0"/>
        <v>118.36999999999999</v>
      </c>
      <c r="H6" s="4">
        <f t="shared" si="14"/>
        <v>2.2113269500062622</v>
      </c>
      <c r="I6" s="15">
        <f t="shared" si="4"/>
        <v>27.438888888806105</v>
      </c>
      <c r="J6" s="7">
        <f t="shared" si="5"/>
        <v>1.6666666666666666E-2</v>
      </c>
      <c r="K6" s="9">
        <f>1-EXP(-$AE$3*I6)</f>
        <v>0.26637609294045017</v>
      </c>
      <c r="L6" s="4">
        <f t="shared" si="6"/>
        <v>1.6179961101918638E-4</v>
      </c>
      <c r="M6" s="9">
        <f>G6/((1+K6))</f>
        <v>93.471442377873601</v>
      </c>
      <c r="N6" s="4">
        <f t="shared" si="1"/>
        <v>1.7471077666232786</v>
      </c>
      <c r="O6" s="9">
        <f>M6*K6</f>
        <v>24.89855762212639</v>
      </c>
      <c r="P6" s="4">
        <f t="shared" si="2"/>
        <v>0.4656334114759979</v>
      </c>
      <c r="Q6" s="9">
        <f t="shared" si="7"/>
        <v>118.36999999999999</v>
      </c>
      <c r="R6" s="9">
        <v>0.8006000000000002</v>
      </c>
      <c r="S6" s="4">
        <v>1.4142135623730951E-4</v>
      </c>
      <c r="T6" s="9">
        <f>M6/R6</f>
        <v>116.75173916796599</v>
      </c>
      <c r="U6" s="4">
        <f t="shared" si="8"/>
        <v>2.1823454722392879</v>
      </c>
      <c r="V6" s="9">
        <f>SUM($T$2:T6)</f>
        <v>151.88836571409698</v>
      </c>
      <c r="W6" s="4">
        <f>SQRT((U6^2)+(U5^2)+(U4^2)+(U3^2)+(U2^2))</f>
        <v>2.8739265041388484</v>
      </c>
      <c r="X6" s="9">
        <f t="shared" si="9"/>
        <v>1.5578573729645599</v>
      </c>
      <c r="Y6" s="4">
        <f t="shared" si="10"/>
        <v>2.9118462777054644E-2</v>
      </c>
      <c r="Z6" s="4">
        <f t="shared" si="11"/>
        <v>8.4788487449871685E-4</v>
      </c>
      <c r="AA6" s="9">
        <f>(C6-$AE$6)*24</f>
        <v>102.44999444443965</v>
      </c>
      <c r="AB6" s="16">
        <f t="shared" si="12"/>
        <v>0.99971856397636361</v>
      </c>
      <c r="AC6" s="9">
        <f t="shared" si="13"/>
        <v>1.5582959335757542</v>
      </c>
      <c r="AE6" s="1">
        <v>43312.5</v>
      </c>
    </row>
    <row r="7" spans="1:31" x14ac:dyDescent="0.25">
      <c r="A7" s="29" t="s">
        <v>17</v>
      </c>
      <c r="B7" s="26">
        <v>43315.62557841435</v>
      </c>
      <c r="C7" s="12">
        <v>43316.791666377314</v>
      </c>
      <c r="D7" s="13">
        <v>297.47000000000003</v>
      </c>
      <c r="E7" s="14">
        <v>1.07</v>
      </c>
      <c r="F7" s="4">
        <f t="shared" si="3"/>
        <v>3.1829290000000006</v>
      </c>
      <c r="G7" s="9">
        <f t="shared" si="0"/>
        <v>289.46000000000004</v>
      </c>
      <c r="H7" s="4">
        <f t="shared" si="14"/>
        <v>3.2749351888916833</v>
      </c>
      <c r="I7" s="15">
        <f t="shared" si="4"/>
        <v>27.986111111124046</v>
      </c>
      <c r="J7" s="7">
        <f t="shared" si="5"/>
        <v>1.6666666666666666E-2</v>
      </c>
      <c r="K7" s="9">
        <f>1-EXP(-$AE$3*I7)</f>
        <v>0.27089416891381912</v>
      </c>
      <c r="L7" s="4">
        <f t="shared" si="6"/>
        <v>1.6132655220666635E-4</v>
      </c>
      <c r="M7" s="9">
        <f>G7/((1+K7))</f>
        <v>227.76090022302137</v>
      </c>
      <c r="N7" s="4">
        <f t="shared" si="1"/>
        <v>2.5804421845525951</v>
      </c>
      <c r="O7" s="9">
        <f>M7*K7</f>
        <v>61.699099776978656</v>
      </c>
      <c r="P7" s="4">
        <f t="shared" si="2"/>
        <v>0.69999178382802563</v>
      </c>
      <c r="Q7" s="9">
        <f t="shared" si="7"/>
        <v>289.46000000000004</v>
      </c>
      <c r="R7" s="9">
        <v>0.84499999999999975</v>
      </c>
      <c r="S7" s="4">
        <v>1.4142135623730951E-4</v>
      </c>
      <c r="T7" s="9">
        <f>M7/R7</f>
        <v>269.53952689114965</v>
      </c>
      <c r="U7" s="4">
        <f t="shared" si="8"/>
        <v>3.0541109066521455</v>
      </c>
      <c r="V7" s="9">
        <f>SUM($T$2:T7)</f>
        <v>421.4278926052466</v>
      </c>
      <c r="W7" s="4">
        <f>SQRT((U7^2)+(U6^2)+(U5^2)+(U4^2)+(U3^2)+(U2^2))</f>
        <v>4.1936913311930013</v>
      </c>
      <c r="X7" s="9">
        <f t="shared" si="9"/>
        <v>3.7960150037170228</v>
      </c>
      <c r="Y7" s="4">
        <f t="shared" si="10"/>
        <v>4.3007369742543253E-2</v>
      </c>
      <c r="Z7" s="4">
        <f t="shared" si="11"/>
        <v>1.8496338521718249E-3</v>
      </c>
      <c r="AA7" s="9">
        <f>(C7-$AE$6)*24</f>
        <v>102.99999305553501</v>
      </c>
      <c r="AB7" s="16">
        <f t="shared" si="12"/>
        <v>0.99971705331233374</v>
      </c>
      <c r="AC7" s="9">
        <f t="shared" si="13"/>
        <v>3.7970893775791814</v>
      </c>
    </row>
    <row r="8" spans="1:31" x14ac:dyDescent="0.25">
      <c r="A8" s="29" t="s">
        <v>18</v>
      </c>
      <c r="B8" s="25">
        <v>43315.625694097223</v>
      </c>
      <c r="C8" s="12">
        <v>43316.813194444447</v>
      </c>
      <c r="D8" s="13">
        <v>296.62</v>
      </c>
      <c r="E8" s="14">
        <v>1.07</v>
      </c>
      <c r="F8" s="4">
        <f t="shared" si="3"/>
        <v>3.1738340000000003</v>
      </c>
      <c r="G8" s="9">
        <f t="shared" si="0"/>
        <v>288.61</v>
      </c>
      <c r="H8" s="4">
        <f t="shared" si="14"/>
        <v>3.2660964057963753</v>
      </c>
      <c r="I8" s="15">
        <f t="shared" si="4"/>
        <v>28.500008333357982</v>
      </c>
      <c r="J8" s="7">
        <f t="shared" si="5"/>
        <v>1.6666666666666666E-2</v>
      </c>
      <c r="K8" s="9">
        <f>1-EXP(-$AE$3*I8)</f>
        <v>0.27511176301433382</v>
      </c>
      <c r="L8" s="4">
        <f t="shared" si="6"/>
        <v>1.6088402489595522E-4</v>
      </c>
      <c r="M8" s="9">
        <f>G8/((1+K8))</f>
        <v>226.34094388536801</v>
      </c>
      <c r="N8" s="4">
        <f t="shared" si="1"/>
        <v>2.5648374084351833</v>
      </c>
      <c r="O8" s="9">
        <f>M8*K8</f>
        <v>62.269056114631994</v>
      </c>
      <c r="P8" s="4">
        <f t="shared" si="2"/>
        <v>0.70655593832098662</v>
      </c>
      <c r="Q8" s="9">
        <f t="shared" si="7"/>
        <v>288.61</v>
      </c>
      <c r="R8" s="9">
        <v>0.80310000000000059</v>
      </c>
      <c r="S8" s="4">
        <v>1.4142135623730951E-4</v>
      </c>
      <c r="T8" s="9">
        <f>M8/R8</f>
        <v>281.83407282451481</v>
      </c>
      <c r="U8" s="4">
        <f t="shared" si="8"/>
        <v>3.1940568792440378</v>
      </c>
      <c r="V8" s="9">
        <f>SUM($T$2:T8)</f>
        <v>703.2619654297614</v>
      </c>
      <c r="W8" s="4">
        <f>SQRT((U8^2)+(U7^2)+(U6^2)+(U5^2)+(U4^2)+(U3^2)+(U2^2))</f>
        <v>5.2715316872014997</v>
      </c>
      <c r="X8" s="9">
        <f t="shared" si="9"/>
        <v>3.7723490647561335</v>
      </c>
      <c r="Y8" s="4">
        <f t="shared" si="10"/>
        <v>4.274729014058639E-2</v>
      </c>
      <c r="Z8" s="4">
        <f t="shared" si="11"/>
        <v>1.8273308143634745E-3</v>
      </c>
      <c r="AA8" s="9">
        <f>(C8-$AE$6)*24</f>
        <v>103.51666666672099</v>
      </c>
      <c r="AB8" s="16">
        <f t="shared" si="12"/>
        <v>0.99971563418312104</v>
      </c>
      <c r="AC8" s="9">
        <f t="shared" si="13"/>
        <v>3.7734220970131798</v>
      </c>
      <c r="AE8" t="s">
        <v>35</v>
      </c>
    </row>
    <row r="9" spans="1:31" x14ac:dyDescent="0.25">
      <c r="A9" s="29" t="s">
        <v>19</v>
      </c>
      <c r="B9" s="26">
        <v>43315.625809780089</v>
      </c>
      <c r="C9" s="12">
        <v>43316.836111111108</v>
      </c>
      <c r="D9" s="13">
        <v>213.56</v>
      </c>
      <c r="E9" s="14">
        <v>1.26</v>
      </c>
      <c r="F9" s="4">
        <f t="shared" si="3"/>
        <v>2.6908560000000001</v>
      </c>
      <c r="G9" s="9">
        <f t="shared" si="0"/>
        <v>205.55</v>
      </c>
      <c r="H9" s="4">
        <f t="shared" si="14"/>
        <v>2.7990836866974882</v>
      </c>
      <c r="I9" s="15">
        <f t="shared" si="4"/>
        <v>29.047231944452506</v>
      </c>
      <c r="J9" s="7">
        <f t="shared" si="5"/>
        <v>1.6666666666666666E-2</v>
      </c>
      <c r="K9" s="9">
        <f>1-EXP(-$AE$3*I9)</f>
        <v>0.27957605102554017</v>
      </c>
      <c r="L9" s="4">
        <f t="shared" si="6"/>
        <v>1.6041462605925066E-4</v>
      </c>
      <c r="M9" s="9">
        <f>G9/((1+K9))</f>
        <v>160.63914281238547</v>
      </c>
      <c r="N9" s="4">
        <f t="shared" si="1"/>
        <v>2.1894496231282465</v>
      </c>
      <c r="O9" s="9">
        <f>M9*K9</f>
        <v>44.910857187614518</v>
      </c>
      <c r="P9" s="4">
        <f t="shared" si="2"/>
        <v>0.61265984704508036</v>
      </c>
      <c r="Q9" s="9">
        <f t="shared" si="7"/>
        <v>205.54999999999998</v>
      </c>
      <c r="R9" s="9">
        <v>0.77700000000000014</v>
      </c>
      <c r="S9" s="4">
        <v>1.4142135623730951E-4</v>
      </c>
      <c r="T9" s="9">
        <f>M9/R9</f>
        <v>206.74278354232362</v>
      </c>
      <c r="U9" s="4">
        <f t="shared" si="8"/>
        <v>2.8180757208221632</v>
      </c>
      <c r="V9" s="9">
        <f>SUM($T$2:T9)</f>
        <v>910.00474897208505</v>
      </c>
      <c r="W9" s="4">
        <f>SQRT((U9^2)+(U8^2)+(U7^2)+(U6^2)+(U5^2)+(U4^2)+(U3^2)+(U2^2))</f>
        <v>5.9775075991132676</v>
      </c>
      <c r="X9" s="9">
        <f t="shared" si="9"/>
        <v>2.6773190468730914</v>
      </c>
      <c r="Y9" s="4">
        <f t="shared" si="10"/>
        <v>3.6490827052137444E-2</v>
      </c>
      <c r="Z9" s="4">
        <f t="shared" si="11"/>
        <v>1.3315804589490059E-3</v>
      </c>
      <c r="AA9" s="9">
        <f>(C9-$AE$6)*24</f>
        <v>104.06666666659294</v>
      </c>
      <c r="AB9" s="16">
        <f t="shared" si="12"/>
        <v>0.99971412351970379</v>
      </c>
      <c r="AC9" s="9">
        <f t="shared" si="13"/>
        <v>2.678084648286279</v>
      </c>
      <c r="AE9">
        <f>LN(2)/252288</f>
        <v>2.7474441137110973E-6</v>
      </c>
    </row>
    <row r="10" spans="1:31" x14ac:dyDescent="0.25">
      <c r="A10" s="29" t="s">
        <v>20</v>
      </c>
      <c r="B10" s="26">
        <v>43315.625925462962</v>
      </c>
      <c r="C10" s="12">
        <v>43316.859027777777</v>
      </c>
      <c r="D10" s="13">
        <v>149.44</v>
      </c>
      <c r="E10" s="14">
        <v>1.51</v>
      </c>
      <c r="F10" s="4">
        <f t="shared" si="3"/>
        <v>2.2565439999999999</v>
      </c>
      <c r="G10" s="9">
        <f t="shared" si="0"/>
        <v>141.43</v>
      </c>
      <c r="H10" s="4">
        <f t="shared" si="14"/>
        <v>2.384565850702387</v>
      </c>
      <c r="I10" s="15">
        <f t="shared" si="4"/>
        <v>29.594455555547029</v>
      </c>
      <c r="J10" s="7">
        <f t="shared" si="5"/>
        <v>1.6666666666666666E-2</v>
      </c>
      <c r="K10" s="9">
        <f>1-EXP(-$AE$3*I10)</f>
        <v>0.28401284532608861</v>
      </c>
      <c r="L10" s="4">
        <f t="shared" si="6"/>
        <v>1.5994710270026392E-4</v>
      </c>
      <c r="M10" s="9">
        <f>G10/((1+K10))</f>
        <v>110.14687315225602</v>
      </c>
      <c r="N10" s="4">
        <f t="shared" si="1"/>
        <v>1.8581556248733557</v>
      </c>
      <c r="O10" s="9">
        <f>M10*K10</f>
        <v>31.283126847743993</v>
      </c>
      <c r="P10" s="4">
        <f t="shared" si="2"/>
        <v>0.52803405170039874</v>
      </c>
      <c r="Q10" s="9">
        <f t="shared" si="7"/>
        <v>141.43</v>
      </c>
      <c r="R10" s="9">
        <v>0.78110000000000035</v>
      </c>
      <c r="S10" s="4">
        <v>1.4142135623730951E-4</v>
      </c>
      <c r="T10" s="9">
        <f>M10/R10</f>
        <v>141.01507252881316</v>
      </c>
      <c r="U10" s="4">
        <f t="shared" si="8"/>
        <v>2.3790329507858656</v>
      </c>
      <c r="V10" s="9">
        <f>SUM($T$2:T10)</f>
        <v>1051.0198215008982</v>
      </c>
      <c r="W10" s="4">
        <f>SQRT((U10^2)+(U9^2)+(U8^2)+(U7^2)+(U6^2)+(U5^2)+(U4^2)+(U3^2)+(U2^2))</f>
        <v>6.4335367317193235</v>
      </c>
      <c r="X10" s="9">
        <f t="shared" si="9"/>
        <v>1.8357812192042671</v>
      </c>
      <c r="Y10" s="4">
        <f t="shared" si="10"/>
        <v>3.096926041455593E-2</v>
      </c>
      <c r="Z10" s="4">
        <f t="shared" si="11"/>
        <v>9.5909509062458095E-4</v>
      </c>
      <c r="AA10" s="9">
        <f>(C10-$AE$6)*24</f>
        <v>104.6166666666395</v>
      </c>
      <c r="AB10" s="16">
        <f t="shared" si="12"/>
        <v>0.99971261285856883</v>
      </c>
      <c r="AC10" s="9">
        <f t="shared" si="13"/>
        <v>1.8363089507844175</v>
      </c>
    </row>
    <row r="11" spans="1:31" x14ac:dyDescent="0.25">
      <c r="A11" s="29" t="s">
        <v>21</v>
      </c>
      <c r="B11" s="25">
        <v>43315.626041145835</v>
      </c>
      <c r="C11" s="12">
        <v>43316.881944386572</v>
      </c>
      <c r="D11" s="13">
        <v>105.46</v>
      </c>
      <c r="E11" s="14">
        <v>1.8</v>
      </c>
      <c r="F11" s="4">
        <f t="shared" si="3"/>
        <v>1.8982800000000002</v>
      </c>
      <c r="G11" s="9">
        <f t="shared" si="0"/>
        <v>97.449999999999989</v>
      </c>
      <c r="H11" s="4">
        <f t="shared" si="14"/>
        <v>2.0488119559393438</v>
      </c>
      <c r="I11" s="15">
        <f t="shared" si="4"/>
        <v>30.141677777690347</v>
      </c>
      <c r="J11" s="7">
        <f t="shared" si="5"/>
        <v>1.6666666666666666E-2</v>
      </c>
      <c r="K11" s="9">
        <f>1-EXP(-$AE$3*I11)</f>
        <v>0.28842230408092895</v>
      </c>
      <c r="L11" s="4">
        <f t="shared" si="6"/>
        <v>1.5948144747625134E-4</v>
      </c>
      <c r="M11" s="9">
        <f>G11/((1+K11))</f>
        <v>75.635138953539027</v>
      </c>
      <c r="N11" s="4">
        <f t="shared" si="1"/>
        <v>1.5907210048237319</v>
      </c>
      <c r="O11" s="9">
        <f>M11*K11</f>
        <v>21.814861046460948</v>
      </c>
      <c r="P11" s="4">
        <f t="shared" si="2"/>
        <v>0.45895795766004249</v>
      </c>
      <c r="Q11" s="9">
        <f t="shared" si="7"/>
        <v>97.449999999999974</v>
      </c>
      <c r="R11" s="9">
        <v>0.79209999999999958</v>
      </c>
      <c r="S11" s="4">
        <v>1.4142135623730951E-4</v>
      </c>
      <c r="T11" s="9">
        <f>M11/R11</f>
        <v>95.486856398862599</v>
      </c>
      <c r="U11" s="4">
        <f t="shared" si="8"/>
        <v>2.0083049136151385</v>
      </c>
      <c r="V11" s="9">
        <f>SUM($T$2:T11)</f>
        <v>1146.5066778997607</v>
      </c>
      <c r="W11" s="4">
        <f>SQRT((U11^2)+(U10^2)+(U9^2)+(U8^2)+(U7^2)+(U6^2)+(U5^2)+(U4^2)+(U3^2)+(U2^2))</f>
        <v>6.739709452523341</v>
      </c>
      <c r="X11" s="9">
        <f t="shared" si="9"/>
        <v>1.2605856492256504</v>
      </c>
      <c r="Y11" s="4">
        <f t="shared" si="10"/>
        <v>2.6512016747062196E-2</v>
      </c>
      <c r="Z11" s="4">
        <f t="shared" si="11"/>
        <v>7.0288703199650638E-4</v>
      </c>
      <c r="AA11" s="9">
        <f>(C11-$AE$6)*24</f>
        <v>105.16666527773486</v>
      </c>
      <c r="AB11" s="16">
        <f t="shared" si="12"/>
        <v>0.99971110220353154</v>
      </c>
      <c r="AC11" s="9">
        <f t="shared" si="13"/>
        <v>1.2609499348832953</v>
      </c>
    </row>
    <row r="12" spans="1:31" x14ac:dyDescent="0.25">
      <c r="A12" s="29" t="s">
        <v>22</v>
      </c>
      <c r="B12" s="26">
        <v>43315.626156828701</v>
      </c>
      <c r="C12" s="12">
        <v>43316.904861053241</v>
      </c>
      <c r="D12" s="13">
        <v>79.39</v>
      </c>
      <c r="E12" s="14">
        <v>2.0699999999999998</v>
      </c>
      <c r="F12" s="4">
        <f t="shared" si="3"/>
        <v>1.643373</v>
      </c>
      <c r="G12" s="9">
        <f t="shared" si="0"/>
        <v>71.38</v>
      </c>
      <c r="H12" s="4">
        <f t="shared" si="14"/>
        <v>1.8151689424207873</v>
      </c>
      <c r="I12" s="15">
        <f t="shared" si="4"/>
        <v>30.688901388959493</v>
      </c>
      <c r="J12" s="7">
        <f t="shared" si="5"/>
        <v>1.6666666666666666E-2</v>
      </c>
      <c r="K12" s="9">
        <f>1-EXP(-$AE$3*I12)</f>
        <v>0.29280461795479407</v>
      </c>
      <c r="L12" s="4">
        <f t="shared" si="6"/>
        <v>1.5901764954247825E-4</v>
      </c>
      <c r="M12" s="9">
        <f>G12/((1+K12))</f>
        <v>55.213292874001759</v>
      </c>
      <c r="N12" s="4">
        <f t="shared" si="1"/>
        <v>1.4043752731966288</v>
      </c>
      <c r="O12" s="9">
        <f>M12*K12</f>
        <v>16.16670712599824</v>
      </c>
      <c r="P12" s="4">
        <f t="shared" si="2"/>
        <v>0.41130128643341851</v>
      </c>
      <c r="Q12" s="9">
        <f t="shared" si="7"/>
        <v>71.38</v>
      </c>
      <c r="R12" s="9">
        <v>0.81400000000000006</v>
      </c>
      <c r="S12" s="4">
        <v>1.4142135623730951E-4</v>
      </c>
      <c r="T12" s="9">
        <f>M12/R12</f>
        <v>67.829598125309275</v>
      </c>
      <c r="U12" s="4">
        <f t="shared" si="8"/>
        <v>1.7253169946879838</v>
      </c>
      <c r="V12" s="9">
        <f>SUM($T$2:T12)</f>
        <v>1214.33627602507</v>
      </c>
      <c r="W12" s="4">
        <f>SQRT((U12^2)+(U11^2)+(U10^2)+(U9^2)+(U8^2)+(U7^2)+(U6^2)+(U5^2)+(U4^2)+(U3^2)+(U2^2))</f>
        <v>6.9570397610328234</v>
      </c>
      <c r="X12" s="9">
        <f t="shared" si="9"/>
        <v>0.9202215479000293</v>
      </c>
      <c r="Y12" s="4">
        <f t="shared" si="10"/>
        <v>2.3406254553277144E-2</v>
      </c>
      <c r="Z12" s="4">
        <f t="shared" si="11"/>
        <v>5.4785275221280706E-4</v>
      </c>
      <c r="AA12" s="9">
        <f>(C12-$AE$6)*24</f>
        <v>105.71666527778143</v>
      </c>
      <c r="AB12" s="16">
        <f t="shared" si="12"/>
        <v>0.99970959154696204</v>
      </c>
      <c r="AC12" s="9">
        <f t="shared" si="13"/>
        <v>0.92048886564754062</v>
      </c>
    </row>
    <row r="13" spans="1:31" x14ac:dyDescent="0.25">
      <c r="A13" s="29" t="s">
        <v>23</v>
      </c>
      <c r="B13" s="26">
        <v>43315.626272511574</v>
      </c>
      <c r="C13" s="12">
        <v>43316.927777719909</v>
      </c>
      <c r="D13" s="13">
        <v>49.33</v>
      </c>
      <c r="E13" s="14">
        <v>2.63</v>
      </c>
      <c r="F13" s="4">
        <f t="shared" si="3"/>
        <v>1.2973790000000001</v>
      </c>
      <c r="G13" s="9">
        <f t="shared" si="0"/>
        <v>41.32</v>
      </c>
      <c r="H13" s="4">
        <f t="shared" si="14"/>
        <v>1.5090910317277086</v>
      </c>
      <c r="I13" s="15">
        <f t="shared" si="4"/>
        <v>31.236125000054017</v>
      </c>
      <c r="J13" s="7">
        <f t="shared" si="5"/>
        <v>1.6666666666666666E-2</v>
      </c>
      <c r="K13" s="9">
        <f>1-EXP(-$AE$3*I13)</f>
        <v>0.29715994296154735</v>
      </c>
      <c r="L13" s="4">
        <f t="shared" si="6"/>
        <v>1.5855570164408116E-4</v>
      </c>
      <c r="M13" s="9">
        <f>G13/((1+K13))</f>
        <v>31.85420597067025</v>
      </c>
      <c r="N13" s="4">
        <f t="shared" si="1"/>
        <v>1.1635049944733369</v>
      </c>
      <c r="O13" s="9">
        <f>M13*K13</f>
        <v>9.4657940293297536</v>
      </c>
      <c r="P13" s="4">
        <f t="shared" si="2"/>
        <v>0.34578396583609722</v>
      </c>
      <c r="Q13" s="9">
        <f t="shared" si="7"/>
        <v>41.320000000000007</v>
      </c>
      <c r="R13" s="9">
        <v>0.82099999999999973</v>
      </c>
      <c r="S13" s="4">
        <v>1.4142135623730951E-4</v>
      </c>
      <c r="T13" s="9">
        <f>M13/R13</f>
        <v>38.79927645635842</v>
      </c>
      <c r="U13" s="4">
        <f t="shared" si="8"/>
        <v>1.4171960204075171</v>
      </c>
      <c r="V13" s="9">
        <f>SUM($T$2:T13)</f>
        <v>1253.1355524814285</v>
      </c>
      <c r="W13" s="4">
        <f>SQRT((U13^2)+(U12^2)+(U11^2)+(U10^2)+(U9^2)+(U8^2)+(U7^2)+(U6^2)+(U5^2)+(U4^2)+(U3^2)+(U2^2))</f>
        <v>7.0999187880461383</v>
      </c>
      <c r="X13" s="9">
        <f t="shared" si="9"/>
        <v>0.53090343284450414</v>
      </c>
      <c r="Y13" s="4">
        <f t="shared" si="10"/>
        <v>1.9391749907888948E-2</v>
      </c>
      <c r="Z13" s="4">
        <f t="shared" si="11"/>
        <v>3.7603996449011104E-4</v>
      </c>
      <c r="AA13" s="9">
        <f>(C13-$AE$6)*24</f>
        <v>106.266665277828</v>
      </c>
      <c r="AB13" s="16">
        <f t="shared" si="12"/>
        <v>0.99970808089267527</v>
      </c>
      <c r="AC13" s="9">
        <f t="shared" si="13"/>
        <v>0.53105845895577974</v>
      </c>
    </row>
    <row r="14" spans="1:31" x14ac:dyDescent="0.25">
      <c r="A14" s="29" t="s">
        <v>24</v>
      </c>
      <c r="B14" s="25">
        <v>43315.626388194447</v>
      </c>
      <c r="C14" s="12">
        <v>43316.950694386571</v>
      </c>
      <c r="D14" s="13">
        <v>39.369999999999997</v>
      </c>
      <c r="E14" s="14">
        <v>2.94</v>
      </c>
      <c r="F14" s="4">
        <f t="shared" si="3"/>
        <v>1.1574779999999998</v>
      </c>
      <c r="G14" s="9">
        <f t="shared" si="0"/>
        <v>31.36</v>
      </c>
      <c r="H14" s="4">
        <f t="shared" si="14"/>
        <v>1.390654088148451</v>
      </c>
      <c r="I14" s="15">
        <f t="shared" si="4"/>
        <v>31.783348610973917</v>
      </c>
      <c r="J14" s="7">
        <f t="shared" si="5"/>
        <v>1.6666666666666666E-2</v>
      </c>
      <c r="K14" s="9">
        <f>1-EXP(-$AE$3*I14)</f>
        <v>0.30148844531451935</v>
      </c>
      <c r="L14" s="4">
        <f t="shared" si="6"/>
        <v>1.5809559538272592E-4</v>
      </c>
      <c r="M14" s="9">
        <f>G14/((1+K14))</f>
        <v>24.095488602222279</v>
      </c>
      <c r="N14" s="4">
        <f t="shared" si="1"/>
        <v>1.0685852186850977</v>
      </c>
      <c r="O14" s="9">
        <f>M14*K14</f>
        <v>7.2645113977777154</v>
      </c>
      <c r="P14" s="4">
        <f t="shared" si="2"/>
        <v>0.32218861718110875</v>
      </c>
      <c r="Q14" s="9">
        <f t="shared" si="7"/>
        <v>31.359999999999992</v>
      </c>
      <c r="R14" s="9">
        <v>0.88009999999999966</v>
      </c>
      <c r="S14" s="4">
        <v>1.4142135623730951E-4</v>
      </c>
      <c r="T14" s="9">
        <f>M14/R14</f>
        <v>27.378125897309722</v>
      </c>
      <c r="U14" s="4">
        <f t="shared" si="8"/>
        <v>1.2141713818737847</v>
      </c>
      <c r="V14" s="9">
        <f>SUM($T$2:T14)</f>
        <v>1280.5136783787382</v>
      </c>
      <c r="W14" s="4">
        <f>SQRT((U14^2)+(U13^2)+(U12^2)+(U11^2)+(U10^2)+(U9^2)+(U8^2)+(U7^2)+(U6^2)+(U5^2)+(U4^2)+(U3^2)+(U2^2))</f>
        <v>7.2029895835973443</v>
      </c>
      <c r="X14" s="9">
        <f t="shared" si="9"/>
        <v>0.40159147670370465</v>
      </c>
      <c r="Y14" s="4">
        <f t="shared" si="10"/>
        <v>1.7809753644751628E-2</v>
      </c>
      <c r="Z14" s="4">
        <f t="shared" si="11"/>
        <v>3.1718732488674389E-4</v>
      </c>
      <c r="AA14" s="9">
        <f>(C14-$AE$6)*24</f>
        <v>106.81666527769994</v>
      </c>
      <c r="AB14" s="16">
        <f t="shared" si="12"/>
        <v>0.99970657024067178</v>
      </c>
      <c r="AC14" s="9">
        <f t="shared" si="13"/>
        <v>0.40170935018164833</v>
      </c>
    </row>
    <row r="15" spans="1:31" x14ac:dyDescent="0.25">
      <c r="A15" s="29" t="s">
        <v>25</v>
      </c>
      <c r="B15" s="26">
        <v>43315.626503877313</v>
      </c>
      <c r="C15" s="12">
        <v>43316.973611053239</v>
      </c>
      <c r="D15" s="13">
        <v>22.45</v>
      </c>
      <c r="E15" s="14">
        <v>3.9</v>
      </c>
      <c r="F15" s="4">
        <f t="shared" si="3"/>
        <v>0.87554999999999994</v>
      </c>
      <c r="G15" s="9">
        <f t="shared" si="0"/>
        <v>14.44</v>
      </c>
      <c r="H15" s="4">
        <f t="shared" si="14"/>
        <v>1.166512440953803</v>
      </c>
      <c r="I15" s="15">
        <f t="shared" si="4"/>
        <v>32.330572222243063</v>
      </c>
      <c r="J15" s="7">
        <f t="shared" si="5"/>
        <v>1.6666666666666666E-2</v>
      </c>
      <c r="K15" s="9">
        <f>1-EXP(-$AE$3*I15)</f>
        <v>0.30579029020750692</v>
      </c>
      <c r="L15" s="4">
        <f t="shared" si="6"/>
        <v>1.5763732240054338E-4</v>
      </c>
      <c r="M15" s="9">
        <f>G15/((1+K15))</f>
        <v>11.058437260783505</v>
      </c>
      <c r="N15" s="4">
        <f t="shared" si="1"/>
        <v>0.89335646058161922</v>
      </c>
      <c r="O15" s="9">
        <f>M15*K15</f>
        <v>3.3815627392164957</v>
      </c>
      <c r="P15" s="4">
        <f t="shared" si="2"/>
        <v>0.27318529323422852</v>
      </c>
      <c r="Q15" s="9">
        <f t="shared" si="7"/>
        <v>14.440000000000001</v>
      </c>
      <c r="R15" s="9">
        <v>0.68490000000000073</v>
      </c>
      <c r="S15" s="4">
        <v>1.4142135623730951E-4</v>
      </c>
      <c r="T15" s="9">
        <f>M15/R15</f>
        <v>16.146061119555398</v>
      </c>
      <c r="U15" s="4">
        <f t="shared" si="8"/>
        <v>1.3043646937248641</v>
      </c>
      <c r="V15" s="9">
        <f>SUM($T$2:T15)</f>
        <v>1296.6597394982937</v>
      </c>
      <c r="W15" s="4">
        <f>SQRT((U15^2)+(U14^2)+(U13^2)+(U12^2)+(U11^2)+(U10^2)+(U9^2)+(U8^2)+(U7^2)+(U6^2)+(U5^2)+(U4^2)+(U3^2)+(U2^2))</f>
        <v>7.3201384000336907</v>
      </c>
      <c r="X15" s="9">
        <f t="shared" si="9"/>
        <v>0.18430728767972507</v>
      </c>
      <c r="Y15" s="4">
        <f t="shared" si="10"/>
        <v>1.4889274343026986E-2</v>
      </c>
      <c r="Z15" s="4">
        <f t="shared" si="11"/>
        <v>2.216904904619217E-4</v>
      </c>
      <c r="AA15" s="9">
        <f>(C15-$AE$6)*24</f>
        <v>107.36666527774651</v>
      </c>
      <c r="AB15" s="16">
        <f t="shared" si="12"/>
        <v>0.99970505959095046</v>
      </c>
      <c r="AC15" s="9">
        <f t="shared" si="13"/>
        <v>0.18436166338413665</v>
      </c>
    </row>
    <row r="16" spans="1:31" x14ac:dyDescent="0.25">
      <c r="A16" s="29" t="s">
        <v>26</v>
      </c>
      <c r="B16" s="26">
        <v>43315.626619560186</v>
      </c>
      <c r="C16" s="12">
        <v>43316.996527719908</v>
      </c>
      <c r="D16" s="13">
        <v>18.559999999999999</v>
      </c>
      <c r="E16" s="14">
        <v>4.29</v>
      </c>
      <c r="F16" s="4">
        <f t="shared" si="3"/>
        <v>0.79622399999999993</v>
      </c>
      <c r="G16" s="9">
        <f t="shared" si="0"/>
        <v>10.549999999999999</v>
      </c>
      <c r="H16" s="4">
        <f t="shared" si="14"/>
        <v>1.1082130348340069</v>
      </c>
      <c r="I16" s="15">
        <f t="shared" si="4"/>
        <v>32.877795833337586</v>
      </c>
      <c r="J16" s="7">
        <f t="shared" si="5"/>
        <v>1.6666666666666666E-2</v>
      </c>
      <c r="K16" s="9">
        <f>1-EXP(-$AE$3*I16)</f>
        <v>0.31006564180870966</v>
      </c>
      <c r="L16" s="4">
        <f t="shared" si="6"/>
        <v>1.5718087438123808E-4</v>
      </c>
      <c r="M16" s="9">
        <f>G16/((1+K16))</f>
        <v>8.0530315911761523</v>
      </c>
      <c r="N16" s="4">
        <f t="shared" si="1"/>
        <v>0.8459316113397477</v>
      </c>
      <c r="O16" s="9">
        <f>M16*K16</f>
        <v>2.496968408823848</v>
      </c>
      <c r="P16" s="4">
        <f t="shared" si="2"/>
        <v>0.26229738219148313</v>
      </c>
      <c r="Q16" s="9">
        <f t="shared" si="7"/>
        <v>10.55</v>
      </c>
      <c r="R16" s="9">
        <v>0.75480000000000036</v>
      </c>
      <c r="S16" s="4">
        <v>1.4142135623730951E-4</v>
      </c>
      <c r="T16" s="9">
        <f>M16/R16</f>
        <v>10.669093258050012</v>
      </c>
      <c r="U16" s="4">
        <f t="shared" si="8"/>
        <v>1.1207378867917588</v>
      </c>
      <c r="V16" s="9">
        <f>SUM($T$2:T16)</f>
        <v>1307.3288327563437</v>
      </c>
      <c r="W16" s="4">
        <f>SQRT((U16^2)+(U15^2)+(U14^2)+(U13^2)+(U12^2)+(U11^2)+(U10^2)+(U9^2)+(U8^2)+(U7^2)+(U6^2)+(U5^2)+(U4^2)+(U3^2)+(U2^2))</f>
        <v>7.4054358147605504</v>
      </c>
      <c r="X16" s="9">
        <f t="shared" si="9"/>
        <v>0.13421719318626921</v>
      </c>
      <c r="Y16" s="4">
        <f t="shared" si="10"/>
        <v>1.4098860188995796E-2</v>
      </c>
      <c r="Z16" s="4">
        <f t="shared" si="11"/>
        <v>1.9877785862885058E-4</v>
      </c>
      <c r="AA16" s="9">
        <f>(C16-$AE$6)*24</f>
        <v>107.91666527779307</v>
      </c>
      <c r="AB16" s="16">
        <f t="shared" si="12"/>
        <v>0.99970354894351199</v>
      </c>
      <c r="AC16" s="9">
        <f t="shared" si="13"/>
        <v>0.13425699381392625</v>
      </c>
    </row>
    <row r="17" spans="1:29" x14ac:dyDescent="0.25">
      <c r="A17" s="29" t="s">
        <v>27</v>
      </c>
      <c r="B17" s="25">
        <v>43315.626735243059</v>
      </c>
      <c r="C17" s="12">
        <v>43317.019444386577</v>
      </c>
      <c r="D17" s="13">
        <v>17.399999999999999</v>
      </c>
      <c r="E17" s="14">
        <v>4.43</v>
      </c>
      <c r="F17" s="4">
        <f t="shared" si="3"/>
        <v>0.77081999999999995</v>
      </c>
      <c r="G17" s="9">
        <f t="shared" si="0"/>
        <v>9.3899999999999988</v>
      </c>
      <c r="H17" s="4">
        <f t="shared" si="14"/>
        <v>1.0901040981484291</v>
      </c>
      <c r="I17" s="15">
        <f>(C17-B17)*24</f>
        <v>33.42501944443211</v>
      </c>
      <c r="J17" s="7">
        <f t="shared" si="5"/>
        <v>1.6666666666666666E-2</v>
      </c>
      <c r="K17" s="9">
        <f>1-EXP(-$AE$3*I17)</f>
        <v>0.31431466328076541</v>
      </c>
      <c r="L17" s="4">
        <f t="shared" si="6"/>
        <v>1.5672624304841577E-4</v>
      </c>
      <c r="M17" s="9">
        <f>G17/((1+K17))</f>
        <v>7.1444078517399117</v>
      </c>
      <c r="N17" s="4">
        <f t="shared" si="1"/>
        <v>0.82941641273614697</v>
      </c>
      <c r="O17" s="9">
        <f>M17*K17</f>
        <v>2.2455921482600867</v>
      </c>
      <c r="P17" s="4">
        <f t="shared" si="2"/>
        <v>0.26070014510983014</v>
      </c>
      <c r="Q17" s="9">
        <f t="shared" si="7"/>
        <v>9.3899999999999988</v>
      </c>
      <c r="R17" s="9">
        <v>0.77899999999999991</v>
      </c>
      <c r="S17" s="4">
        <v>1.4142135623731E-4</v>
      </c>
      <c r="T17" s="9">
        <f>M17/R17</f>
        <v>9.1712552653914159</v>
      </c>
      <c r="U17" s="4">
        <f t="shared" si="8"/>
        <v>1.0647207019836065</v>
      </c>
      <c r="V17" s="9">
        <f>SUM($T$2:T17)</f>
        <v>1316.5000880217351</v>
      </c>
      <c r="W17" s="4">
        <f>SQRT((U17^2)+(U16^2)+(U15^2)+(U14^2)+(U13^2)+(U12^2)+(U11^2)+(U10^2)+(U9^2)+(U8^2)+(U7^2)+(U6^2)+(U5^2)+(U4^2)+(U3^2)+(U2^2))</f>
        <v>7.4815847104587894</v>
      </c>
      <c r="X17" s="9">
        <f t="shared" si="9"/>
        <v>0.1190734641956652</v>
      </c>
      <c r="Y17" s="4">
        <f>X17*SQRT(((N17/M17)^2))</f>
        <v>1.3823606878935782E-2</v>
      </c>
      <c r="Z17" s="4">
        <f>Y17^2</f>
        <v>1.9109210714336069E-4</v>
      </c>
      <c r="AA17" s="9">
        <f>(C17-$AE$6)*24</f>
        <v>108.46666527783964</v>
      </c>
      <c r="AB17" s="16">
        <f t="shared" si="12"/>
        <v>0.99970203829835613</v>
      </c>
      <c r="AC17" s="9">
        <f t="shared" si="13"/>
        <v>0.11910895410231054</v>
      </c>
    </row>
    <row r="18" spans="1:29" x14ac:dyDescent="0.25">
      <c r="A18" s="29" t="s">
        <v>28</v>
      </c>
      <c r="B18" s="26">
        <v>43315.626850925924</v>
      </c>
      <c r="C18" s="12">
        <v>43317.042361053238</v>
      </c>
      <c r="D18" s="13">
        <v>12.65</v>
      </c>
      <c r="E18" s="14">
        <v>5.19</v>
      </c>
      <c r="F18" s="4">
        <f>D18*(E18/100)</f>
        <v>0.65653500000000009</v>
      </c>
      <c r="G18" s="9">
        <f t="shared" si="0"/>
        <v>4.6400000000000006</v>
      </c>
      <c r="H18" s="4">
        <f>SQRT((F18^2)+(F$17^2))</f>
        <v>1.0125224336403613</v>
      </c>
      <c r="I18" s="15">
        <f t="shared" si="4"/>
        <v>33.972243055526633</v>
      </c>
      <c r="J18" s="7">
        <f t="shared" si="5"/>
        <v>1.6666666666666666E-2</v>
      </c>
      <c r="K18" s="9">
        <f>1-EXP(-$AE$3*I18)</f>
        <v>0.31853751678009212</v>
      </c>
      <c r="L18" s="4">
        <f t="shared" si="6"/>
        <v>1.5627342016611028E-4</v>
      </c>
      <c r="M18" s="9">
        <f>G18/((1+K18))</f>
        <v>3.5190504183233395</v>
      </c>
      <c r="N18" s="4">
        <f t="shared" si="1"/>
        <v>0.76791519363997141</v>
      </c>
      <c r="O18" s="9">
        <f>M18*K18</f>
        <v>1.120949581676661</v>
      </c>
      <c r="P18" s="4">
        <f t="shared" si="2"/>
        <v>0.24461041706243808</v>
      </c>
      <c r="Q18" s="9">
        <f t="shared" si="7"/>
        <v>4.6400000000000006</v>
      </c>
      <c r="R18" s="9">
        <v>0.71520000000000028</v>
      </c>
      <c r="S18" s="4">
        <v>1.4142135623731E-4</v>
      </c>
      <c r="T18" s="9">
        <f>M18/R18</f>
        <v>4.9203725088413561</v>
      </c>
      <c r="U18" s="4">
        <f t="shared" si="8"/>
        <v>1.0737073670441128</v>
      </c>
      <c r="V18" s="9">
        <f>SUM($T$2:T18)</f>
        <v>1321.4204605305765</v>
      </c>
      <c r="W18" s="4">
        <f>SQRT((U18^2)+(U17^2)+(U16^2)+(U15^2)+(U14^2)+(U13^2)+(U12^2)+(U11^2)+(U10^2)+(U9^2)+(U8^2)+(U7^2)+(U6^2)+(U5^2)+(U4^2)+(U3^2)+(U2^2))</f>
        <v>7.5582377105920342</v>
      </c>
      <c r="X18" s="9">
        <f t="shared" si="9"/>
        <v>5.8650840305388995E-2</v>
      </c>
      <c r="Y18" s="4">
        <f t="shared" ref="Y18:Y21" si="15">X18*SQRT(((N18/M18)^2))</f>
        <v>1.2798586560666191E-2</v>
      </c>
      <c r="Z18" s="4">
        <f t="shared" ref="Z18:Z21" si="16">Y18^2</f>
        <v>1.6380381795086523E-4</v>
      </c>
      <c r="AA18" s="9">
        <f>(C18-$AE$6)*24</f>
        <v>109.01666527771158</v>
      </c>
      <c r="AB18" s="16">
        <f t="shared" si="12"/>
        <v>0.99970052765548356</v>
      </c>
      <c r="AC18" s="9">
        <f t="shared" si="13"/>
        <v>5.8668409871642305E-2</v>
      </c>
    </row>
    <row r="19" spans="1:29" x14ac:dyDescent="0.25">
      <c r="A19" s="29" t="s">
        <v>29</v>
      </c>
      <c r="B19" s="26">
        <v>43315.626966608797</v>
      </c>
      <c r="C19" s="12">
        <v>43317.065277719907</v>
      </c>
      <c r="D19" s="13">
        <v>12.48</v>
      </c>
      <c r="E19" s="14">
        <v>5.23</v>
      </c>
      <c r="F19" s="4">
        <f t="shared" si="3"/>
        <v>0.65270400000000006</v>
      </c>
      <c r="G19" s="9">
        <f t="shared" si="0"/>
        <v>4.4700000000000006</v>
      </c>
      <c r="H19" s="4">
        <f>SQRT((F19^2)+(F$17^2))</f>
        <v>1.0100425654476151</v>
      </c>
      <c r="I19" s="15">
        <f t="shared" si="4"/>
        <v>34.519466666621156</v>
      </c>
      <c r="J19" s="7">
        <f t="shared" si="5"/>
        <v>1.6666666666666666E-2</v>
      </c>
      <c r="K19" s="9">
        <f>1-EXP(-$AE$3*I19)</f>
        <v>0.32273436346445306</v>
      </c>
      <c r="L19" s="4">
        <f t="shared" si="6"/>
        <v>1.5582239753843174E-4</v>
      </c>
      <c r="M19" s="9">
        <f>G19/((1+K19))</f>
        <v>3.379363327563635</v>
      </c>
      <c r="N19" s="4">
        <f t="shared" si="1"/>
        <v>0.76360371296531315</v>
      </c>
      <c r="O19" s="9">
        <f>M19*K19</f>
        <v>1.0906366724363656</v>
      </c>
      <c r="P19" s="4">
        <f t="shared" si="2"/>
        <v>0.24644172082491822</v>
      </c>
      <c r="Q19" s="9">
        <f t="shared" si="7"/>
        <v>4.4700000000000006</v>
      </c>
      <c r="R19" s="9">
        <v>0.79579999999999984</v>
      </c>
      <c r="S19" s="4">
        <v>1.4142135623731E-4</v>
      </c>
      <c r="T19" s="9">
        <f>M19/R19</f>
        <v>4.2464982754003966</v>
      </c>
      <c r="U19" s="4">
        <f t="shared" si="8"/>
        <v>0.95954253470532469</v>
      </c>
      <c r="V19" s="9">
        <f>SUM($T$2:T19)</f>
        <v>1325.6669588059769</v>
      </c>
      <c r="W19" s="4">
        <f>SQRT((U19^2)+(U18^2)+(U17^2)+(U16^2)+(U15^2)+(U14^2)+(U13^2)+(U12^2)+(U11^2)+(U10^2)+(U9^2)+(U8^2)+(U7^2)+(U6^2)+(U5^2)+(U4^2)+(U3^2)+(U2^2))</f>
        <v>7.6189027533972524</v>
      </c>
      <c r="X19" s="9">
        <f t="shared" si="9"/>
        <v>5.6322722126060584E-2</v>
      </c>
      <c r="Y19" s="4">
        <f t="shared" si="15"/>
        <v>1.2726728549421886E-2</v>
      </c>
      <c r="Z19" s="4">
        <f t="shared" si="16"/>
        <v>1.6196961957067011E-4</v>
      </c>
      <c r="AA19" s="9">
        <f>(C19-$AE$6)*24</f>
        <v>109.56666527775815</v>
      </c>
      <c r="AB19" s="16">
        <f t="shared" si="12"/>
        <v>0.99969901701489317</v>
      </c>
      <c r="AC19" s="9">
        <f t="shared" si="13"/>
        <v>5.6339679410949653E-2</v>
      </c>
    </row>
    <row r="20" spans="1:29" x14ac:dyDescent="0.25">
      <c r="A20" s="29" t="s">
        <v>30</v>
      </c>
      <c r="B20" s="25">
        <v>43315.627082291663</v>
      </c>
      <c r="C20" s="12">
        <v>43317.088194386575</v>
      </c>
      <c r="D20" s="13">
        <v>11.39</v>
      </c>
      <c r="E20" s="14">
        <v>5.47</v>
      </c>
      <c r="F20" s="4">
        <f t="shared" si="3"/>
        <v>0.62303300000000006</v>
      </c>
      <c r="G20" s="9">
        <f t="shared" si="0"/>
        <v>3.3800000000000008</v>
      </c>
      <c r="H20" s="4">
        <f t="shared" ref="H20:H22" si="17">SQRT((F20^2)+(F$17^2))</f>
        <v>0.99112743453553942</v>
      </c>
      <c r="I20" s="15">
        <f t="shared" si="4"/>
        <v>35.066690277890302</v>
      </c>
      <c r="J20" s="7">
        <f t="shared" si="5"/>
        <v>1.6666666666666666E-2</v>
      </c>
      <c r="K20" s="9">
        <f>1-EXP(-$AE$3*I20)</f>
        <v>0.32690536350043431</v>
      </c>
      <c r="L20" s="4">
        <f t="shared" si="6"/>
        <v>1.5537316700921992E-4</v>
      </c>
      <c r="M20" s="9">
        <f>G20/((1+K20))</f>
        <v>2.5472803810841591</v>
      </c>
      <c r="N20" s="4">
        <f t="shared" si="1"/>
        <v>0.74694756966895326</v>
      </c>
      <c r="O20" s="9">
        <f>M20*K20</f>
        <v>0.8327196189158419</v>
      </c>
      <c r="P20" s="4">
        <f t="shared" si="2"/>
        <v>0.24418148752575644</v>
      </c>
      <c r="Q20" s="9">
        <f t="shared" si="7"/>
        <v>3.3800000000000008</v>
      </c>
      <c r="R20" s="9">
        <v>0.79</v>
      </c>
      <c r="S20" s="4">
        <v>1.4142135623731E-4</v>
      </c>
      <c r="T20" s="9">
        <f>M20/R20</f>
        <v>3.2244055456761505</v>
      </c>
      <c r="U20" s="4">
        <f t="shared" si="8"/>
        <v>0.94550342893584005</v>
      </c>
      <c r="V20" s="9">
        <f>SUM($T$2:T20)</f>
        <v>1328.891364351653</v>
      </c>
      <c r="W20" s="4">
        <f>SQRT((U20^2)+(U19^2)+(U18^2)+(U17^2)+(U16^2)+(U15^2)+(U14^2)+(U13^2)+(U12^2)+(U11^2)+(U10^2)+(U9^2)+(U8^2)+(U7^2)+(U6^2)+(U5^2)+(U4^2)+(U3^2)+(U2^2))</f>
        <v>7.677346931059823</v>
      </c>
      <c r="X20" s="9">
        <f t="shared" si="9"/>
        <v>4.2454673018069315E-2</v>
      </c>
      <c r="Y20" s="4">
        <f t="shared" si="15"/>
        <v>1.244912616114922E-2</v>
      </c>
      <c r="Z20" s="4">
        <f t="shared" si="16"/>
        <v>1.5498074217620993E-4</v>
      </c>
      <c r="AA20" s="9">
        <f>(C20-$AE$6)*24</f>
        <v>110.11666527780471</v>
      </c>
      <c r="AB20" s="16">
        <f t="shared" si="12"/>
        <v>0.9996975063765855</v>
      </c>
      <c r="AC20" s="9">
        <f t="shared" si="13"/>
        <v>4.2467519171821025E-2</v>
      </c>
    </row>
    <row r="21" spans="1:29" x14ac:dyDescent="0.25">
      <c r="A21" s="29" t="s">
        <v>31</v>
      </c>
      <c r="B21" s="26">
        <v>43315.627197974536</v>
      </c>
      <c r="C21" s="12">
        <v>43317.111111053244</v>
      </c>
      <c r="D21" s="13">
        <v>10.98</v>
      </c>
      <c r="E21" s="14">
        <v>5.57</v>
      </c>
      <c r="F21" s="4">
        <f t="shared" si="3"/>
        <v>0.61158599999999996</v>
      </c>
      <c r="G21" s="9">
        <f t="shared" si="0"/>
        <v>2.9700000000000006</v>
      </c>
      <c r="H21" s="4">
        <f t="shared" si="17"/>
        <v>0.98397200559568765</v>
      </c>
      <c r="I21" s="15">
        <f t="shared" si="4"/>
        <v>35.613913888984825</v>
      </c>
      <c r="J21" s="7">
        <f t="shared" si="5"/>
        <v>1.6666666666666666E-2</v>
      </c>
      <c r="K21" s="9">
        <f>1-EXP(-$AE$3*I21)</f>
        <v>0.33105067606424088</v>
      </c>
      <c r="L21" s="4">
        <f t="shared" si="6"/>
        <v>1.5492572046241402E-4</v>
      </c>
      <c r="M21" s="9">
        <f>G21/((1+K21))</f>
        <v>2.2313200041203078</v>
      </c>
      <c r="N21" s="4">
        <f t="shared" si="1"/>
        <v>0.73924532321959424</v>
      </c>
      <c r="O21" s="9">
        <f>M21*K21</f>
        <v>0.73867999587969269</v>
      </c>
      <c r="P21" s="4">
        <f t="shared" si="2"/>
        <v>0.24472790817960285</v>
      </c>
      <c r="Q21" s="9">
        <f t="shared" si="7"/>
        <v>2.9700000000000006</v>
      </c>
      <c r="R21" s="9">
        <v>1.0529000000000002</v>
      </c>
      <c r="S21" s="4">
        <v>1.4142135623731E-4</v>
      </c>
      <c r="T21" s="9">
        <f>M21/R21</f>
        <v>2.1192136044451586</v>
      </c>
      <c r="U21" s="4">
        <f t="shared" si="8"/>
        <v>0.70210407823310261</v>
      </c>
      <c r="V21" s="9">
        <f>SUM($T$2:T21)</f>
        <v>1331.0105779560981</v>
      </c>
      <c r="W21" s="4">
        <f>SQRT((U21^2)+(U20^2)+(U19^2)+(U18^2)+(U17^2)+(U16^2)+(U15^2)+(U14^2)+(U13^2)+(U12^2)+(U11^2)+(U10^2)+(U9^2)+(U8^2)+(U7^2)+(U6^2)+(U5^2)+(U4^2)+(U3^2)+(U2^2))</f>
        <v>7.7093842838793059</v>
      </c>
      <c r="X21" s="9">
        <f t="shared" si="9"/>
        <v>3.7188666735338466E-2</v>
      </c>
      <c r="Y21" s="4">
        <f t="shared" si="15"/>
        <v>1.2320755386993239E-2</v>
      </c>
      <c r="Z21" s="4">
        <f t="shared" si="16"/>
        <v>1.5180101330612291E-4</v>
      </c>
      <c r="AA21" s="9">
        <f>(C21-$AE$6)*24</f>
        <v>110.66666527785128</v>
      </c>
      <c r="AB21" s="16">
        <f t="shared" si="12"/>
        <v>0.99969599574056056</v>
      </c>
      <c r="AC21" s="9">
        <f t="shared" si="13"/>
        <v>3.7199975686398178E-2</v>
      </c>
    </row>
    <row r="22" spans="1:29" ht="15.75" thickBot="1" x14ac:dyDescent="0.3">
      <c r="A22" s="30" t="s">
        <v>11</v>
      </c>
      <c r="B22" s="26">
        <v>43315.627313657409</v>
      </c>
      <c r="C22" s="12">
        <v>43317.134027719905</v>
      </c>
      <c r="D22" s="13">
        <v>8.01</v>
      </c>
      <c r="E22" s="14">
        <v>6.52</v>
      </c>
      <c r="F22" s="4">
        <f t="shared" si="3"/>
        <v>0.52225199999999994</v>
      </c>
      <c r="G22" s="9">
        <f t="shared" si="0"/>
        <v>0</v>
      </c>
      <c r="H22" s="4">
        <f t="shared" si="17"/>
        <v>0.93108035308667092</v>
      </c>
      <c r="I22" s="15">
        <f>(C22-B22)*24</f>
        <v>36.161137499904726</v>
      </c>
      <c r="J22" s="7">
        <f t="shared" si="5"/>
        <v>1.6666666666666666E-2</v>
      </c>
      <c r="K22" s="9">
        <f>1-EXP(-$AE$3*I22)</f>
        <v>0.33517045935444767</v>
      </c>
      <c r="L22" s="4">
        <f t="shared" si="6"/>
        <v>1.5448004982113314E-4</v>
      </c>
      <c r="M22" s="9">
        <f>G22/((1+K22))</f>
        <v>0</v>
      </c>
      <c r="N22" s="4" t="e">
        <f t="shared" si="1"/>
        <v>#DIV/0!</v>
      </c>
      <c r="O22" s="9">
        <f>M22*K22</f>
        <v>0</v>
      </c>
      <c r="P22" s="4" t="e">
        <f t="shared" si="2"/>
        <v>#DIV/0!</v>
      </c>
      <c r="Q22" s="9">
        <f t="shared" si="7"/>
        <v>0</v>
      </c>
      <c r="R22" s="9"/>
      <c r="S22" s="4">
        <v>1.4142135623731E-4</v>
      </c>
      <c r="T22" s="9"/>
      <c r="U22" s="4" t="e">
        <f t="shared" si="8"/>
        <v>#DIV/0!</v>
      </c>
      <c r="V22" s="9"/>
      <c r="W22" s="9"/>
      <c r="X22" s="9"/>
      <c r="Y22" s="9"/>
      <c r="Z22" s="9"/>
      <c r="AA22" s="9"/>
      <c r="AB22" s="9"/>
      <c r="AC22" s="9"/>
    </row>
    <row r="23" spans="1:29" x14ac:dyDescent="0.25">
      <c r="Y23" s="11" t="s">
        <v>54</v>
      </c>
    </row>
    <row r="24" spans="1:29" x14ac:dyDescent="0.25">
      <c r="W24" s="5" t="s">
        <v>53</v>
      </c>
      <c r="X24" s="10">
        <f>SUM(X2:X21)</f>
        <v>17.943452307983804</v>
      </c>
      <c r="Y24" s="5">
        <f>SQRT(SUM(Z2:Z21))</f>
        <v>0.10425182516173097</v>
      </c>
      <c r="AC24">
        <f>SUM(AC2:AC21)</f>
        <v>17.948579925854425</v>
      </c>
    </row>
    <row r="27" spans="1:29" x14ac:dyDescent="0.25">
      <c r="G27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CT21E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2021-06-16T15:32:54Z</dcterms:modified>
</cp:coreProperties>
</file>